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3　処遇局長通知（健）\様式記入例\"/>
    </mc:Choice>
  </mc:AlternateContent>
  <xr:revisionPtr revIDLastSave="0" documentId="13_ncr:1_{147F676E-7AF4-453B-9F27-67F373A4ECAF}"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<sst xmlns="http://schemas.openxmlformats.org/spreadsheetml/2006/main" count="6878" uniqueCount="2437">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</sst>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67" fillId="2" borderId="1" xfId="0" applyFont="1" applyFill="1" applyBorder="1" applyAlignment="1" applyProtection="1">
      <alignment horizontal="left"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0"/>
              <a:chExt cx="301792" cy="780048"/>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2"/>
              <a:chExt cx="308371" cy="762884"/>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5"/>
              <a:chExt cx="301792" cy="494766"/>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2"/>
              <a:chExt cx="308371" cy="779264"/>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9" y="8168796"/>
              <a:chExt cx="217568" cy="792428"/>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3" y="8166062"/>
              <a:chExt cx="208607" cy="749798"/>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1"/>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1"/>
              <a:chExt cx="303832" cy="486865"/>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3"/>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18"/>
              <a:chExt cx="308371" cy="762885"/>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3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2"/>
              <a:chExt cx="301792" cy="494739"/>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5"/>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8"/>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4" y="8168717"/>
              <a:chExt cx="217624" cy="792562"/>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7" y="8168717"/>
                <a:ext cx="217071"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53"/>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77" y="8166001"/>
              <a:chExt cx="208651" cy="749829"/>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17"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77" y="8640713"/>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50" y="7305244"/>
              <a:chExt cx="210544" cy="71808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50" y="730524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5" y="777553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6"/>
              <a:chExt cx="303832" cy="486896"/>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6"/>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8"/>
              <a:chExt cx="301792" cy="780068"/>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80"/>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5"/>
              <a:chExt cx="301792" cy="494774"/>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5"/>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0"/>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9" y="8168785"/>
              <a:chExt cx="217564"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0" y="816878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9" y="872310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5" y="8166029"/>
              <a:chExt cx="208649" cy="749818"/>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5"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5" y="8640730"/>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2"/>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0"/>
              <a:chExt cx="301792" cy="780048"/>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2"/>
              <a:chExt cx="308371" cy="762884"/>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5"/>
              <a:chExt cx="301792" cy="494766"/>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2"/>
              <a:chExt cx="308371" cy="779264"/>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9" y="8168796"/>
              <a:chExt cx="217568" cy="792428"/>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3" y="8166062"/>
              <a:chExt cx="208607" cy="749798"/>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1"/>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0"/>
              <a:chExt cx="301792" cy="780048"/>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2"/>
              <a:chExt cx="308371" cy="762884"/>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5"/>
              <a:chExt cx="301792" cy="494766"/>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2"/>
              <a:chExt cx="308371" cy="779264"/>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9" y="8168796"/>
              <a:chExt cx="217568" cy="792428"/>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3" y="8166062"/>
              <a:chExt cx="208607" cy="749798"/>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1"/>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0"/>
              <a:chExt cx="301792" cy="780048"/>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2"/>
              <a:chExt cx="308371" cy="762884"/>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5"/>
              <a:chExt cx="301792" cy="494766"/>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2"/>
              <a:chExt cx="308371" cy="779264"/>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9" y="8168796"/>
              <a:chExt cx="217568" cy="792428"/>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3" y="8166062"/>
              <a:chExt cx="208607" cy="749798"/>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1"/>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0"/>
              <a:chExt cx="301792" cy="780048"/>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2"/>
              <a:chExt cx="308371" cy="762884"/>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5"/>
              <a:chExt cx="301792" cy="494766"/>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2"/>
              <a:chExt cx="308371" cy="779264"/>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9" y="8168796"/>
              <a:chExt cx="217568" cy="792428"/>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3" y="8166062"/>
              <a:chExt cx="208607" cy="749798"/>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1"/>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0"/>
              <a:chExt cx="301792" cy="780048"/>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2"/>
              <a:chExt cx="308371" cy="762884"/>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5"/>
              <a:chExt cx="301792" cy="494766"/>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2"/>
              <a:chExt cx="308371" cy="779264"/>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9" y="8168796"/>
              <a:chExt cx="217568" cy="792428"/>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3" y="8166062"/>
              <a:chExt cx="208607" cy="749798"/>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1"/>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0"/>
              <a:chExt cx="301792" cy="780048"/>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2"/>
              <a:chExt cx="308371" cy="762884"/>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5"/>
              <a:chExt cx="301792" cy="494766"/>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2"/>
              <a:chExt cx="308371" cy="779264"/>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9" y="8168796"/>
              <a:chExt cx="217568" cy="792428"/>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3" y="8166062"/>
              <a:chExt cx="208607" cy="749798"/>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1"/>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0"/>
              <a:chExt cx="301792" cy="780048"/>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2"/>
              <a:chExt cx="308371" cy="762884"/>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5"/>
              <a:chExt cx="301792" cy="494766"/>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2"/>
              <a:chExt cx="308371" cy="779264"/>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9" y="8168796"/>
              <a:chExt cx="217568" cy="792428"/>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3" y="8166062"/>
              <a:chExt cx="208607" cy="749798"/>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1"/>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12781520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6008224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10581520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3808224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2429</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2430</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203" t="s">
        <v>2283</v>
      </c>
      <c r="F15" s="147">
        <v>4</v>
      </c>
      <c r="G15" s="203" t="s">
        <v>2284</v>
      </c>
      <c r="H15" s="1085" t="s">
        <v>2285</v>
      </c>
      <c r="I15" s="1085"/>
      <c r="J15" s="1098"/>
      <c r="K15" s="147">
        <v>7</v>
      </c>
      <c r="L15" s="203" t="s">
        <v>2283</v>
      </c>
      <c r="M15" s="147">
        <v>3</v>
      </c>
      <c r="N15" s="203" t="s">
        <v>2284</v>
      </c>
      <c r="O15" s="203" t="s">
        <v>2286</v>
      </c>
      <c r="P15" s="204">
        <f>(K15*12+M15)-(D15*12+F15)+1</f>
        <v>12</v>
      </c>
      <c r="Q15" s="1085" t="s">
        <v>2287</v>
      </c>
      <c r="R15" s="1085"/>
      <c r="S15" s="205" t="s">
        <v>74</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219"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219"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219"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8"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8"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8" ht="15.95" customHeight="1">
      <c r="U57" s="1012" t="s">
        <v>2203</v>
      </c>
      <c r="V57" s="1012"/>
      <c r="W57" s="1012"/>
      <c r="X57" s="1012"/>
      <c r="Y57" s="1012"/>
      <c r="Z57" s="532"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0" t="s">
        <v>2204</v>
      </c>
      <c r="V58" s="1130"/>
      <c r="W58" s="1130"/>
      <c r="X58" s="1130"/>
      <c r="Y58" s="1130"/>
      <c r="Z58" s="532"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30" t="s">
        <v>2205</v>
      </c>
      <c r="V59" s="1130"/>
      <c r="W59" s="1130"/>
      <c r="X59" s="1130"/>
      <c r="Y59" s="1130"/>
      <c r="Z59" s="532"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30" t="s">
        <v>2206</v>
      </c>
      <c r="V60" s="1130"/>
      <c r="W60" s="1130"/>
      <c r="X60" s="1130"/>
      <c r="Y60" s="1130"/>
      <c r="Z60" s="532"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0" t="s">
        <v>2207</v>
      </c>
      <c r="V61" s="1130"/>
      <c r="W61" s="1130"/>
      <c r="X61" s="1130"/>
      <c r="Y61" s="1130"/>
      <c r="Z61" s="532"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0" t="s">
        <v>2208</v>
      </c>
      <c r="V62" s="1130"/>
      <c r="W62" s="1130"/>
      <c r="X62" s="1130"/>
      <c r="Y62" s="1130"/>
      <c r="Z62" s="532"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2209</v>
      </c>
      <c r="V63" s="1012"/>
      <c r="W63" s="1012"/>
      <c r="X63" s="1012"/>
      <c r="Y63" s="1012"/>
      <c r="Z63" s="532"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AU11:AU12"/>
    <mergeCell ref="AV11:AV12"/>
    <mergeCell ref="AW11:AW12"/>
    <mergeCell ref="AX11:AX12"/>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2291</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1334567890</v>
      </c>
      <c r="C5" s="1120"/>
      <c r="D5" s="1120"/>
      <c r="E5" s="1120"/>
      <c r="F5" s="1120"/>
      <c r="G5" s="1121" t="s">
        <v>4</v>
      </c>
      <c r="H5" s="1121"/>
      <c r="I5" s="1121"/>
      <c r="J5" s="1122" t="s">
        <v>5</v>
      </c>
      <c r="K5" s="1122"/>
      <c r="L5" s="1122"/>
      <c r="M5" s="1123" t="s">
        <v>6</v>
      </c>
      <c r="N5" s="1123"/>
      <c r="O5" s="1123"/>
      <c r="P5" s="1124">
        <f>IF(Y5="","",IFERROR(INDEX(【参考】数式用3!$G$3:$I$451,MATCH(M5,【参考】数式用3!$F$3:$F$451,0),MATCH(VLOOKUP(Y5,【参考】数式用3!$J$2:$K$26,2,FALSE),【参考】数式用3!$G$2:$I$2,0)),10))</f>
        <v>11.4</v>
      </c>
      <c r="Q5" s="1125"/>
      <c r="R5" s="1125"/>
      <c r="S5" s="1126" t="s">
        <v>7</v>
      </c>
      <c r="T5" s="1127"/>
      <c r="U5" s="1127"/>
      <c r="V5" s="1127"/>
      <c r="W5" s="1127"/>
      <c r="X5" s="1128"/>
      <c r="Y5" s="1136" t="s">
        <v>260</v>
      </c>
      <c r="Z5" s="1136"/>
      <c r="AA5" s="1136"/>
      <c r="AB5" s="1136"/>
      <c r="AC5" s="1136"/>
      <c r="AD5" s="1136"/>
      <c r="AE5" s="1141">
        <v>225000</v>
      </c>
      <c r="AF5" s="1142"/>
      <c r="AG5" s="1142"/>
      <c r="AH5" s="1143"/>
      <c r="AI5" s="1141">
        <v>40000</v>
      </c>
      <c r="AJ5" s="1142"/>
      <c r="AK5" s="1142"/>
      <c r="AL5" s="1143"/>
      <c r="AM5" s="1144">
        <f>AE5-AI5</f>
        <v>185000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新加算Ⅱ</v>
      </c>
      <c r="W8" s="1153"/>
      <c r="X8" s="1153"/>
      <c r="Y8" s="1153"/>
      <c r="Z8" s="1154"/>
      <c r="AA8" s="1137" t="str">
        <f>IFERROR(VLOOKUP(AS1,【参考】数式用2!E6:L23,4,FALSE),"")</f>
        <v>補助金を取得する場合、４月からベア加算の算定が必要。その場合、６月以降は自然と新加算Ⅱに移行可能。</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63" t="s">
        <v>9</v>
      </c>
      <c r="C9" s="1064"/>
      <c r="D9" s="1064"/>
      <c r="E9" s="1064"/>
      <c r="F9" s="1065"/>
      <c r="G9" s="1066" t="s">
        <v>10</v>
      </c>
      <c r="H9" s="1067"/>
      <c r="I9" s="1067"/>
      <c r="J9" s="1067"/>
      <c r="K9" s="1068"/>
      <c r="L9" s="1069" t="s">
        <v>11</v>
      </c>
      <c r="M9" s="1070"/>
      <c r="N9" s="1070"/>
      <c r="O9" s="1070"/>
      <c r="P9" s="1071"/>
      <c r="Q9" s="1058" t="s">
        <v>2200</v>
      </c>
      <c r="R9" s="1059"/>
      <c r="S9" s="1059"/>
      <c r="T9" s="1041"/>
      <c r="U9" s="1042"/>
      <c r="V9" s="1155">
        <f>IFERROR(VLOOKUP(Y5,【参考】数式用!$A$5:$AB$27,MATCH(V8,【参考】数式用!$B$4:$AB$4,0)+1,FALSE),"")</f>
        <v>0.224</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0.13700000000000001</v>
      </c>
      <c r="C10" s="1078"/>
      <c r="D10" s="1078"/>
      <c r="E10" s="1078"/>
      <c r="F10" s="1079"/>
      <c r="G10" s="1077">
        <f>IFERROR(VLOOKUP(Y5,【参考】数式用!$A$5:$J$27,MATCH(G9,【参考】数式用!$B$4:$J$4,0)+1,0),"")</f>
        <v>4.2000000000000003E-2</v>
      </c>
      <c r="H10" s="1078"/>
      <c r="I10" s="1078"/>
      <c r="J10" s="1078"/>
      <c r="K10" s="1079"/>
      <c r="L10" s="1077">
        <f>IFERROR(VLOOKUP(Y5,【参考】数式用!$A$5:$J$27,MATCH(L9,【参考】数式用!$B$4:$J$4,0)+1,0),"")</f>
        <v>0</v>
      </c>
      <c r="M10" s="1078"/>
      <c r="N10" s="1078"/>
      <c r="O10" s="1078"/>
      <c r="P10" s="1079"/>
      <c r="Q10" s="1036">
        <f>SUM(B10,G10,L10)</f>
        <v>0.17900000000000002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新加算Ⅴ(３)</v>
      </c>
      <c r="W11" s="1119"/>
      <c r="X11" s="1119"/>
      <c r="Y11" s="1119"/>
      <c r="Z11" s="1119"/>
      <c r="AA11" s="1137" t="str">
        <f>IFERROR(VLOOKUP(AS1,【参考】数式用2!E6:L23,6,FALSE),"")</f>
        <v>４月からベア加算を算定せず、６月から月額賃金改善要件Ⅱも満たさない場合、Ⅴ(３)となる。なお、R7年度以降は月額賃金改善要件Ⅱが必要。</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0.2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f>IFERROR(VLOOKUP(AS1,【参考】数式用2!E6:L23,8,FALSE),"")</f>
        <v>0</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203" t="s">
        <v>2283</v>
      </c>
      <c r="F15" s="147">
        <v>4</v>
      </c>
      <c r="G15" s="203" t="s">
        <v>2284</v>
      </c>
      <c r="H15" s="1085" t="s">
        <v>2285</v>
      </c>
      <c r="I15" s="1085"/>
      <c r="J15" s="1098"/>
      <c r="K15" s="147">
        <v>7</v>
      </c>
      <c r="L15" s="203" t="s">
        <v>2283</v>
      </c>
      <c r="M15" s="147">
        <v>3</v>
      </c>
      <c r="N15" s="203" t="s">
        <v>2284</v>
      </c>
      <c r="O15" s="203" t="s">
        <v>2286</v>
      </c>
      <c r="P15" s="204">
        <f>(K15*12+M15)-(D15*12+F15)+1</f>
        <v>12</v>
      </c>
      <c r="Q15" s="1085" t="s">
        <v>2287</v>
      </c>
      <c r="R15" s="1085"/>
      <c r="S15" s="205" t="s">
        <v>74</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219"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219" t="str">
        <f>IFERROR(IF(OR(B9="処遇加算Ⅰ",B9="処遇加算Ⅱ"),"✓",""),"")</f>
        <v>✓</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219" t="str">
        <f>IFERROR(IF(OR(B9="処遇加算Ⅰ",B9="処遇加算Ⅱ"),"✓",""),"")</f>
        <v>✓</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2223</v>
      </c>
      <c r="C40" s="1018"/>
      <c r="D40" s="1018"/>
      <c r="E40" s="1018"/>
      <c r="F40" s="1018"/>
      <c r="G40" s="1017" t="str">
        <f>IFERROR(VLOOKUP(Y5,【参考】数式用!AS5:AT27,2,0),"")</f>
        <v>　特定事業所加算ⅠまたはⅡを算定する。</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31" t="str">
        <f>AS48&amp;AW48&amp;BA48</f>
        <v>処遇加算Ⅰ特定加算Ⅱベア加算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0.13700000000000001</v>
      </c>
      <c r="H50" s="1032"/>
      <c r="I50" s="1032"/>
      <c r="J50" s="1032"/>
      <c r="K50" s="1033"/>
      <c r="L50" s="1031">
        <f>IFERROR(VLOOKUP(Y5,【参考】数式用!$A$5:$J$27,MATCH(L49,【参考】数式用!$B$4:$J$4,0)+1,0),"")</f>
        <v>4.2000000000000003E-2</v>
      </c>
      <c r="M50" s="1032"/>
      <c r="N50" s="1032"/>
      <c r="O50" s="1032"/>
      <c r="P50" s="1034"/>
      <c r="Q50" s="1035">
        <f>IFERROR(VLOOKUP(Y5,【参考】数式用!$A$5:$J$27,MATCH(Q49,【参考】数式用!$B$4:$J$4,0)+1,0),"")</f>
        <v>2.4E-2</v>
      </c>
      <c r="R50" s="1032"/>
      <c r="S50" s="1032"/>
      <c r="T50" s="1032"/>
      <c r="U50" s="1034"/>
      <c r="V50" s="1036">
        <f>SUM(G50,L50,Q50)</f>
        <v>0.20300000000000001</v>
      </c>
      <c r="W50" s="1037"/>
      <c r="X50" s="1037"/>
      <c r="Y50" s="1037"/>
      <c r="Z50" s="1037"/>
      <c r="AA50" s="1043"/>
      <c r="AB50" s="1043"/>
      <c r="AC50" s="1038">
        <f>IFERROR(VLOOKUP(Y5,【参考】数式用!$A$5:$AB$27,MATCH(AC49,【参考】数式用!$B$4:$AB$4,0)+1,FALSE),"")</f>
        <v>0.224</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f>IFERROR(ROUNDDOWN(ROUND(AM5*G50,0)*P5,0)*H53,"")</f>
        <v>577866</v>
      </c>
      <c r="H51" s="1050"/>
      <c r="I51" s="1050"/>
      <c r="J51" s="1050"/>
      <c r="K51" s="148" t="s">
        <v>2289</v>
      </c>
      <c r="L51" s="1049">
        <f>IFERROR(ROUNDDOWN(ROUND(AM5*L50,0)*P5,0)*H53,"")</f>
        <v>177156</v>
      </c>
      <c r="M51" s="1050"/>
      <c r="N51" s="1050"/>
      <c r="O51" s="1050"/>
      <c r="P51" s="148" t="s">
        <v>2289</v>
      </c>
      <c r="Q51" s="1049">
        <f>IFERROR(ROUNDDOWN(ROUND(AM5*Q50,0)*P5,0)*H53,"")</f>
        <v>101232</v>
      </c>
      <c r="R51" s="1050"/>
      <c r="S51" s="1050"/>
      <c r="T51" s="1050"/>
      <c r="U51" s="149" t="s">
        <v>2289</v>
      </c>
      <c r="V51" s="1158">
        <f>IFERROR(SUM(G51,L51,Q51),"")</f>
        <v>856254</v>
      </c>
      <c r="W51" s="1159"/>
      <c r="X51" s="1159"/>
      <c r="Y51" s="1159"/>
      <c r="Z51" s="150" t="s">
        <v>2289</v>
      </c>
      <c r="AB51" s="151"/>
      <c r="AC51" s="1049">
        <f>IFERROR(ROUNDDOWN(ROUND(AM5*AC50,0)*P5,0)*AD53,"")</f>
        <v>4724160</v>
      </c>
      <c r="AD51" s="1050"/>
      <c r="AE51" s="1050"/>
      <c r="AF51" s="1050"/>
      <c r="AG51" s="1050"/>
      <c r="AH51" s="149" t="s">
        <v>2289</v>
      </c>
      <c r="AS51" s="1011">
        <f>IFERROR(ROUNDDOWN(ROUND(AM5*(G50-B10),0)*P5,0)*H53,"")</f>
        <v>0</v>
      </c>
      <c r="AT51" s="1011"/>
      <c r="AU51" s="1011"/>
      <c r="AV51" s="1011"/>
      <c r="AW51" s="1011">
        <f>IFERROR(ROUNDDOWN(ROUND(AM5*(L50-G10),0)*P5,0)*H53,"")</f>
        <v>0</v>
      </c>
      <c r="AX51" s="1011"/>
      <c r="AY51" s="1011"/>
      <c r="AZ51" s="1011"/>
      <c r="BA51" s="1011">
        <f>IFERROR(ROUNDDOWN(ROUND(AM5*(Q50-L10),0)*P5,0)*H53,"")</f>
        <v>101232</v>
      </c>
      <c r="BB51" s="1011"/>
      <c r="BC51" s="1011"/>
      <c r="BD51" s="1011"/>
      <c r="BE51" s="1011">
        <f>IFERROR(ROUNDDOWN(ROUND(AM5*(AC50-Q10),0)*P5,0)*AD53,"")</f>
        <v>949050</v>
      </c>
      <c r="BF51" s="1011"/>
      <c r="BG51" s="1011"/>
      <c r="BH51" s="1011"/>
      <c r="BI51" s="1011">
        <f>SUM(AS51:BH51)</f>
        <v>1050282</v>
      </c>
      <c r="BJ51" s="1011"/>
      <c r="BK51" s="1011"/>
      <c r="BL51" s="1011"/>
      <c r="BM51" s="241"/>
      <c r="BN51" s="1011">
        <f>IFERROR(ROUNDDOWN(ROUNDDOWN(ROUND(AM5*(VLOOKUP(Y5,【参考】数式用!$A$5:$AB$27,14,FALSE)),0)*P5,0)*AD53*0.5,0),"")</f>
        <v>1529025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(288,933円/月)</v>
      </c>
      <c r="H52" s="1048"/>
      <c r="I52" s="1048"/>
      <c r="J52" s="1048"/>
      <c r="K52" s="1048"/>
      <c r="L52" s="1048" t="str">
        <f>IFERROR("("&amp;TEXT(L51/H53,"#,##0円")&amp;"/月)","")</f>
        <v>(88,578円/月)</v>
      </c>
      <c r="M52" s="1048"/>
      <c r="N52" s="1048"/>
      <c r="O52" s="1048"/>
      <c r="P52" s="1048"/>
      <c r="Q52" s="1048" t="str">
        <f>IFERROR("("&amp;TEXT(Q51/H53,"#,##0円")&amp;"/月)","")</f>
        <v>(50,616円/月)</v>
      </c>
      <c r="R52" s="1048"/>
      <c r="S52" s="1048"/>
      <c r="T52" s="1048"/>
      <c r="U52" s="1048"/>
      <c r="V52" s="1048" t="str">
        <f>IFERROR("("&amp;TEXT(V51/H53,"#,##0円")&amp;"/月)","")</f>
        <v>(428,127円/月)</v>
      </c>
      <c r="W52" s="1048"/>
      <c r="X52" s="1048"/>
      <c r="Y52" s="1048"/>
      <c r="Z52" s="1048"/>
      <c r="AB52" s="151"/>
      <c r="AC52" s="1051" t="str">
        <f>IFERROR("("&amp;TEXT(AC51/AD53,"#,##0円")&amp;"/月)","")</f>
        <v>(472,416円/月)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252">
        <f>IF(AND(B9&lt;&gt;"処遇加算なし",F15=4),IF(V21="✓",1,IF(V22="✓",2,"")),"")</f>
        <v>2</v>
      </c>
      <c r="AA57" s="245"/>
      <c r="AB57" s="249"/>
      <c r="AC57" s="1012" t="s">
        <v>2203</v>
      </c>
      <c r="AD57" s="1012"/>
      <c r="AE57" s="1012"/>
      <c r="AF57" s="1012"/>
      <c r="AG57" s="1012"/>
      <c r="AH57" s="170">
        <v>1</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252">
        <f>IF(AND(B9&lt;&gt;"処遇加算なし",F15=4),IF(V24="✓",1,IF(V25="✓",2,IF(V26="✓",3,""))),"")</f>
        <v>1</v>
      </c>
      <c r="AA58" s="245"/>
      <c r="AB58" s="249"/>
      <c r="AC58" s="1130" t="s">
        <v>2204</v>
      </c>
      <c r="AD58" s="1130"/>
      <c r="AE58" s="1130"/>
      <c r="AF58" s="1130"/>
      <c r="AG58" s="1130"/>
      <c r="AH58" s="170">
        <v>1</v>
      </c>
      <c r="AI58" s="253"/>
      <c r="AJ58" s="249"/>
      <c r="AK58" s="1130" t="s">
        <v>2204</v>
      </c>
      <c r="AL58" s="1130"/>
      <c r="AM58" s="1130"/>
      <c r="AN58" s="1130"/>
      <c r="AO58" s="1130"/>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252">
        <f>IF(AND(B9&lt;&gt;"処遇加算なし",F15=4),IF(V28="✓",1,IF(V29="✓",2,IF(V30="✓",3,""))),"")</f>
        <v>1</v>
      </c>
      <c r="AA59" s="245"/>
      <c r="AB59" s="249"/>
      <c r="AC59" s="1130" t="s">
        <v>2205</v>
      </c>
      <c r="AD59" s="1130"/>
      <c r="AE59" s="1130"/>
      <c r="AF59" s="1130"/>
      <c r="AG59" s="1130"/>
      <c r="AH59" s="170">
        <v>1</v>
      </c>
      <c r="AI59" s="253"/>
      <c r="AJ59" s="249"/>
      <c r="AK59" s="1130" t="s">
        <v>2205</v>
      </c>
      <c r="AL59" s="1130"/>
      <c r="AM59" s="1130"/>
      <c r="AN59" s="1130"/>
      <c r="AO59" s="1130"/>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252">
        <f>IF(AND(B9&lt;&gt;"処遇加算なし",F15=4),IF(V32="✓",1,IF(V33="✓",2,"")),"")</f>
        <v>1</v>
      </c>
      <c r="AA60" s="245"/>
      <c r="AB60" s="249"/>
      <c r="AC60" s="1130" t="s">
        <v>2206</v>
      </c>
      <c r="AD60" s="1130"/>
      <c r="AE60" s="1130"/>
      <c r="AF60" s="1130"/>
      <c r="AG60" s="1130"/>
      <c r="AH60" s="170">
        <v>1</v>
      </c>
      <c r="AI60" s="253"/>
      <c r="AJ60" s="249"/>
      <c r="AK60" s="1130" t="s">
        <v>2206</v>
      </c>
      <c r="AL60" s="1130"/>
      <c r="AM60" s="1130"/>
      <c r="AN60" s="1130"/>
      <c r="AO60" s="1130"/>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252">
        <f>IF(AND(B9&lt;&gt;"処遇加算なし",F15=4),IF(V36="✓",1,IF(V37="✓",2,"")),"")</f>
        <v>1</v>
      </c>
      <c r="AA61" s="245"/>
      <c r="AB61" s="249"/>
      <c r="AC61" s="1130" t="s">
        <v>2207</v>
      </c>
      <c r="AD61" s="1130"/>
      <c r="AE61" s="1130"/>
      <c r="AF61" s="1130"/>
      <c r="AG61" s="1130"/>
      <c r="AH61" s="170">
        <v>1</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252">
        <f>IF(AND(B9&lt;&gt;"処遇加算なし",F15=4),IF(V40="✓",1,IF(V41="✓",2,"")),"")</f>
        <v>2</v>
      </c>
      <c r="AA62" s="245"/>
      <c r="AB62" s="249"/>
      <c r="AC62" s="1130" t="s">
        <v>2208</v>
      </c>
      <c r="AD62" s="1130"/>
      <c r="AE62" s="1130"/>
      <c r="AF62" s="1130"/>
      <c r="AG62" s="1130"/>
      <c r="AH62" s="170">
        <v>2</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252">
        <f>IF(AND(B9&lt;&gt;"処遇加算なし",F15=4),IF(V44="✓",1,IF(V45="✓",2,"")),"")</f>
        <v>1</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B36:F38"/>
    <mergeCell ref="B32:F34"/>
    <mergeCell ref="B28:F30"/>
    <mergeCell ref="B40:F42"/>
    <mergeCell ref="G40:T42"/>
    <mergeCell ref="W26:Z26"/>
    <mergeCell ref="W29:Z29"/>
    <mergeCell ref="W30:Z30"/>
    <mergeCell ref="W28:Z28"/>
    <mergeCell ref="U60:Y60"/>
    <mergeCell ref="U61:Y61"/>
    <mergeCell ref="U62:Y62"/>
    <mergeCell ref="U63:Y63"/>
    <mergeCell ref="AA8:AP9"/>
    <mergeCell ref="AA11:AP12"/>
    <mergeCell ref="AI5:AL5"/>
    <mergeCell ref="AM5:AP5"/>
    <mergeCell ref="AE5:AH5"/>
    <mergeCell ref="AA14:AP16"/>
    <mergeCell ref="AD22:AH22"/>
    <mergeCell ref="AL22:AP22"/>
    <mergeCell ref="AC57:AG57"/>
    <mergeCell ref="AC58:AG58"/>
    <mergeCell ref="AC59:AG59"/>
    <mergeCell ref="AC60:AG60"/>
    <mergeCell ref="AC61:AG61"/>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W36:Z36"/>
    <mergeCell ref="AA36:AB38"/>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AL34:AP34"/>
    <mergeCell ref="W32:Z32"/>
    <mergeCell ref="AA32:AB34"/>
    <mergeCell ref="AD32:AH32"/>
    <mergeCell ref="AI32:AJ34"/>
    <mergeCell ref="AL32:AP32"/>
    <mergeCell ref="G32:T34"/>
    <mergeCell ref="W37:Z37"/>
    <mergeCell ref="AD38:AH38"/>
    <mergeCell ref="AL38:AP38"/>
    <mergeCell ref="AD36:AH36"/>
    <mergeCell ref="AI36:AJ38"/>
    <mergeCell ref="AL36:AP36"/>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2423</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1334567891</v>
      </c>
      <c r="C5" s="1120"/>
      <c r="D5" s="1120"/>
      <c r="E5" s="1120"/>
      <c r="F5" s="1120"/>
      <c r="G5" s="1121" t="s">
        <v>4</v>
      </c>
      <c r="H5" s="1121"/>
      <c r="I5" s="1121"/>
      <c r="J5" s="1122" t="s">
        <v>5</v>
      </c>
      <c r="K5" s="1122"/>
      <c r="L5" s="1122"/>
      <c r="M5" s="1123" t="s">
        <v>6</v>
      </c>
      <c r="N5" s="1123"/>
      <c r="O5" s="1123"/>
      <c r="P5" s="1124">
        <f>IF(Y5="","",IFERROR(INDEX(【参考】数式用3!$G$3:$I$451,MATCH(M5,【参考】数式用3!$F$3:$F$451,0),MATCH(VLOOKUP(Y5,【参考】数式用3!$J$2:$K$26,2,FALSE),【参考】数式用3!$G$2:$I$2,0)),10))</f>
        <v>10.9</v>
      </c>
      <c r="Q5" s="1125"/>
      <c r="R5" s="1125"/>
      <c r="S5" s="1126" t="s">
        <v>2431</v>
      </c>
      <c r="T5" s="1127"/>
      <c r="U5" s="1127"/>
      <c r="V5" s="1127"/>
      <c r="W5" s="1127"/>
      <c r="X5" s="1128"/>
      <c r="Y5" s="1136" t="s">
        <v>281</v>
      </c>
      <c r="Z5" s="1136"/>
      <c r="AA5" s="1136"/>
      <c r="AB5" s="1136"/>
      <c r="AC5" s="1136"/>
      <c r="AD5" s="1136"/>
      <c r="AE5" s="1141">
        <v>385000</v>
      </c>
      <c r="AF5" s="1142"/>
      <c r="AG5" s="1142"/>
      <c r="AH5" s="1143"/>
      <c r="AI5" s="1141">
        <v>80000</v>
      </c>
      <c r="AJ5" s="1142"/>
      <c r="AK5" s="1142"/>
      <c r="AL5" s="1143"/>
      <c r="AM5" s="1144">
        <f>AE5-AI5</f>
        <v>305000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新加算Ⅱ</v>
      </c>
      <c r="W8" s="1153"/>
      <c r="X8" s="1153"/>
      <c r="Y8" s="1153"/>
      <c r="Z8" s="1154"/>
      <c r="AA8" s="113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63" t="s">
        <v>267</v>
      </c>
      <c r="C9" s="1064"/>
      <c r="D9" s="1064"/>
      <c r="E9" s="1064"/>
      <c r="F9" s="1065"/>
      <c r="G9" s="1066" t="s">
        <v>13</v>
      </c>
      <c r="H9" s="1067"/>
      <c r="I9" s="1067"/>
      <c r="J9" s="1067"/>
      <c r="K9" s="1068"/>
      <c r="L9" s="1069" t="s">
        <v>15</v>
      </c>
      <c r="M9" s="1070"/>
      <c r="N9" s="1070"/>
      <c r="O9" s="1070"/>
      <c r="P9" s="1071"/>
      <c r="Q9" s="1058" t="s">
        <v>2200</v>
      </c>
      <c r="R9" s="1059"/>
      <c r="S9" s="1059"/>
      <c r="T9" s="1041"/>
      <c r="U9" s="1042"/>
      <c r="V9" s="1155">
        <f>IFERROR(VLOOKUP(Y5,【参考】数式用!$A$5:$AB$27,MATCH(V8,【参考】数式用!$B$4:$AB$4,0)+1,FALSE),"")</f>
        <v>8.9999999999999983E-2</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4.2999999999999997E-2</v>
      </c>
      <c r="C10" s="1078"/>
      <c r="D10" s="1078"/>
      <c r="E10" s="1078"/>
      <c r="F10" s="1079"/>
      <c r="G10" s="1077">
        <f>IFERROR(VLOOKUP(Y5,【参考】数式用!$A$5:$J$27,MATCH(G9,【参考】数式用!$B$4:$J$4,0)+1,0),"")</f>
        <v>0</v>
      </c>
      <c r="H10" s="1078"/>
      <c r="I10" s="1078"/>
      <c r="J10" s="1078"/>
      <c r="K10" s="1079"/>
      <c r="L10" s="1077">
        <f>IFERROR(VLOOKUP(Y5,【参考】数式用!$A$5:$J$27,MATCH(L9,【参考】数式用!$B$4:$J$4,0)+1,0),"")</f>
        <v>1.0999999999999999E-2</v>
      </c>
      <c r="M10" s="1078"/>
      <c r="N10" s="1078"/>
      <c r="O10" s="1078"/>
      <c r="P10" s="1079"/>
      <c r="Q10" s="1036">
        <f>SUM(B10,G10,L10)</f>
        <v>5.3999999999999992E-2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新加算Ⅲ</v>
      </c>
      <c r="W11" s="1119"/>
      <c r="X11" s="1119"/>
      <c r="Y11" s="1119"/>
      <c r="Z11" s="1119"/>
      <c r="AA11" s="1137" t="str">
        <f>IFERROR(VLOOKUP(AS1,【参考】数式用2!E6:L23,6,FALSE),"")</f>
        <v>キャリアパス要件Ⅲを「R6年度中の対応の誓約」で満たし、４月から旧処遇加算Ⅰを算定可。その場合、６月以降は自然と新加算Ⅲに移行可能。</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7.9999999999999988E-2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新加算Ⅳ</v>
      </c>
      <c r="W14" s="1119"/>
      <c r="X14" s="1119"/>
      <c r="Y14" s="1119"/>
      <c r="Z14" s="1119"/>
      <c r="AA14" s="114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f>IFERROR(VLOOKUP(Y5,【参考】数式用!$A$5:$AB$27,MATCH(V14,【参考】数式用!$B$4:$AB$4,0)+1,FALSE),"")</f>
        <v>6.3999999999999987E-2</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4" t="s">
        <v>2271</v>
      </c>
      <c r="AE41" s="1055"/>
      <c r="AF41" s="1055"/>
      <c r="AG41" s="1055"/>
      <c r="AH41" s="1056"/>
      <c r="AI41" s="1041"/>
      <c r="AJ41" s="1042"/>
      <c r="AK41" s="234" t="s">
        <v>90</v>
      </c>
      <c r="AL41" s="1054" t="s">
        <v>2271</v>
      </c>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
      </c>
      <c r="BB48" s="1013"/>
      <c r="BC48" s="1013"/>
      <c r="BD48" s="1013"/>
      <c r="BE48" s="1131" t="str">
        <f>AS48&amp;AW48&amp;BA48</f>
        <v>処遇加算Ⅰ特定加算Ⅱ</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5.8999999999999997E-2</v>
      </c>
      <c r="H50" s="1032"/>
      <c r="I50" s="1032"/>
      <c r="J50" s="1032"/>
      <c r="K50" s="1033"/>
      <c r="L50" s="1031">
        <f>IFERROR(VLOOKUP(Y5,【参考】数式用!$A$5:$J$27,MATCH(L49,【参考】数式用!$B$4:$J$4,0)+1,0),"")</f>
        <v>0.01</v>
      </c>
      <c r="M50" s="1032"/>
      <c r="N50" s="1032"/>
      <c r="O50" s="1032"/>
      <c r="P50" s="1034"/>
      <c r="Q50" s="1035">
        <f>IFERROR(VLOOKUP(Y5,【参考】数式用!$A$5:$J$27,MATCH(Q49,【参考】数式用!$B$4:$J$4,0)+1,0),"")</f>
        <v>1.0999999999999999E-2</v>
      </c>
      <c r="R50" s="1032"/>
      <c r="S50" s="1032"/>
      <c r="T50" s="1032"/>
      <c r="U50" s="1034"/>
      <c r="V50" s="1036">
        <f>SUM(G50,L50,Q50)</f>
        <v>7.9999999999999988E-2</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f>IFERROR(ROUNDDOWN(ROUND(AM5*G50,0)*P5,0)*H53,"")</f>
        <v>392290</v>
      </c>
      <c r="H51" s="1050"/>
      <c r="I51" s="1050"/>
      <c r="J51" s="1050"/>
      <c r="K51" s="148" t="s">
        <v>2289</v>
      </c>
      <c r="L51" s="1049">
        <f>IFERROR(ROUNDDOWN(ROUND(AM5*L50,0)*P5,0)*H53,"")</f>
        <v>66490</v>
      </c>
      <c r="M51" s="1050"/>
      <c r="N51" s="1050"/>
      <c r="O51" s="1050"/>
      <c r="P51" s="148" t="s">
        <v>2289</v>
      </c>
      <c r="Q51" s="1049">
        <f>IFERROR(ROUNDDOWN(ROUND(AM5*Q50,0)*P5,0)*H53,"")</f>
        <v>73138</v>
      </c>
      <c r="R51" s="1050"/>
      <c r="S51" s="1050"/>
      <c r="T51" s="1050"/>
      <c r="U51" s="149" t="s">
        <v>2289</v>
      </c>
      <c r="V51" s="1158">
        <f>IFERROR(SUM(G51,L51,Q51),"")</f>
        <v>531918</v>
      </c>
      <c r="W51" s="1159"/>
      <c r="X51" s="1159"/>
      <c r="Y51" s="1159"/>
      <c r="Z51" s="150" t="s">
        <v>2289</v>
      </c>
      <c r="AB51" s="151"/>
      <c r="AC51" s="1049" t="str">
        <f>IFERROR(ROUNDDOWN(ROUND(AM5*AC50,0)*P5,0)*AD53,"")</f>
        <v/>
      </c>
      <c r="AD51" s="1050"/>
      <c r="AE51" s="1050"/>
      <c r="AF51" s="1050"/>
      <c r="AG51" s="1050"/>
      <c r="AH51" s="149" t="s">
        <v>2289</v>
      </c>
      <c r="AS51" s="1011">
        <f>IFERROR(ROUNDDOWN(ROUND(AM5*(G50-B10),0)*P5,0)*H53,"")</f>
        <v>106384</v>
      </c>
      <c r="AT51" s="1011"/>
      <c r="AU51" s="1011"/>
      <c r="AV51" s="1011"/>
      <c r="AW51" s="1011">
        <f>IFERROR(ROUNDDOWN(ROUND(AM5*(L50-G10),0)*P5,0)*H53,"")</f>
        <v>66490</v>
      </c>
      <c r="AX51" s="1011"/>
      <c r="AY51" s="1011"/>
      <c r="AZ51" s="1011"/>
      <c r="BA51" s="1011">
        <f>IFERROR(ROUNDDOWN(ROUND(AM5*(Q50-L10),0)*P5,0)*H53,"")</f>
        <v>0</v>
      </c>
      <c r="BB51" s="1011"/>
      <c r="BC51" s="1011"/>
      <c r="BD51" s="1011"/>
      <c r="BE51" s="1011" t="str">
        <f>IFERROR(ROUNDDOWN(ROUND(AM5*(AC50-Q10),0)*P5,0)*AD53,"")</f>
        <v/>
      </c>
      <c r="BF51" s="1011"/>
      <c r="BG51" s="1011"/>
      <c r="BH51" s="1011"/>
      <c r="BI51" s="1011">
        <f>SUM(AS51:BH51)</f>
        <v>172874</v>
      </c>
      <c r="BJ51" s="1011"/>
      <c r="BK51" s="1011"/>
      <c r="BL51" s="1011"/>
      <c r="BM51" s="241"/>
      <c r="BN51" s="1011">
        <f>IFERROR(ROUNDDOWN(ROUNDDOWN(ROUND(AM5*(VLOOKUP(Y5,【参考】数式用!$A$5:$AB$27,14,FALSE)),0)*P5,0)*AD53*0.5,0),"")</f>
        <v>1063840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(196,145円/月)</v>
      </c>
      <c r="H52" s="1048"/>
      <c r="I52" s="1048"/>
      <c r="J52" s="1048"/>
      <c r="K52" s="1048"/>
      <c r="L52" s="1048" t="str">
        <f>IFERROR("("&amp;TEXT(L51/H53,"#,##0円")&amp;"/月)","")</f>
        <v>(33,245円/月)</v>
      </c>
      <c r="M52" s="1048"/>
      <c r="N52" s="1048"/>
      <c r="O52" s="1048"/>
      <c r="P52" s="1048"/>
      <c r="Q52" s="1048" t="str">
        <f>IFERROR("("&amp;TEXT(Q51/H53,"#,##0円")&amp;"/月)","")</f>
        <v>(36,569円/月)</v>
      </c>
      <c r="R52" s="1048"/>
      <c r="S52" s="1048"/>
      <c r="T52" s="1048"/>
      <c r="U52" s="1048"/>
      <c r="V52" s="1048" t="str">
        <f>IFERROR("("&amp;TEXT(V51/H53,"#,##0円")&amp;"/月)","")</f>
        <v>(265,959円/月)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f>IF(AND(B9&lt;&gt;"処遇加算なし",F15=4),IF(V21="✓",1,IF(V22="✓",2,"")),"")</f>
        <v>1</v>
      </c>
      <c r="AA57" s="245"/>
      <c r="AB57" s="249"/>
      <c r="AC57" s="1012" t="s">
        <v>2203</v>
      </c>
      <c r="AD57" s="1012"/>
      <c r="AE57" s="1012"/>
      <c r="AF57" s="1012"/>
      <c r="AG57" s="1012"/>
      <c r="AH57" s="170">
        <v>0</v>
      </c>
      <c r="AI57" s="253"/>
      <c r="AJ57" s="249"/>
      <c r="AK57" s="1012" t="s">
        <v>2203</v>
      </c>
      <c r="AL57" s="1012"/>
      <c r="AM57" s="1012"/>
      <c r="AN57" s="1012"/>
      <c r="AO57" s="1012"/>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527">
        <f>IF(AND(B9&lt;&gt;"処遇加算なし",F15=4),IF(V24="✓",1,IF(V25="✓",2,IF(V26="✓",3,""))),"")</f>
        <v>1</v>
      </c>
      <c r="AA58" s="245"/>
      <c r="AB58" s="249"/>
      <c r="AC58" s="1130" t="s">
        <v>2204</v>
      </c>
      <c r="AD58" s="1130"/>
      <c r="AE58" s="1130"/>
      <c r="AF58" s="1130"/>
      <c r="AG58" s="1130"/>
      <c r="AH58" s="170">
        <v>1</v>
      </c>
      <c r="AI58" s="253"/>
      <c r="AJ58" s="249"/>
      <c r="AK58" s="1130" t="s">
        <v>2204</v>
      </c>
      <c r="AL58" s="1130"/>
      <c r="AM58" s="1130"/>
      <c r="AN58" s="1130"/>
      <c r="AO58" s="1130"/>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527">
        <f>IF(AND(B9&lt;&gt;"処遇加算なし",F15=4),IF(V28="✓",1,IF(V29="✓",2,IF(V30="✓",3,""))),"")</f>
        <v>1</v>
      </c>
      <c r="AA59" s="245"/>
      <c r="AB59" s="249"/>
      <c r="AC59" s="1130" t="s">
        <v>2205</v>
      </c>
      <c r="AD59" s="1130"/>
      <c r="AE59" s="1130"/>
      <c r="AF59" s="1130"/>
      <c r="AG59" s="1130"/>
      <c r="AH59" s="170">
        <v>1</v>
      </c>
      <c r="AI59" s="253"/>
      <c r="AJ59" s="249"/>
      <c r="AK59" s="1130" t="s">
        <v>2205</v>
      </c>
      <c r="AL59" s="1130"/>
      <c r="AM59" s="1130"/>
      <c r="AN59" s="1130"/>
      <c r="AO59" s="1130"/>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527">
        <f>IF(AND(B9&lt;&gt;"処遇加算なし",F15=4),IF(V32="✓",1,IF(V33="✓",2,"")),"")</f>
        <v>2</v>
      </c>
      <c r="AA60" s="245"/>
      <c r="AB60" s="249"/>
      <c r="AC60" s="1130" t="s">
        <v>2206</v>
      </c>
      <c r="AD60" s="1130"/>
      <c r="AE60" s="1130"/>
      <c r="AF60" s="1130"/>
      <c r="AG60" s="1130"/>
      <c r="AH60" s="170">
        <v>2</v>
      </c>
      <c r="AI60" s="253"/>
      <c r="AJ60" s="249"/>
      <c r="AK60" s="1130" t="s">
        <v>2206</v>
      </c>
      <c r="AL60" s="1130"/>
      <c r="AM60" s="1130"/>
      <c r="AN60" s="1130"/>
      <c r="AO60" s="1130"/>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527">
        <f>IF(AND(B9&lt;&gt;"処遇加算なし",F15=4),IF(V36="✓",1,IF(V37="✓",2,"")),"")</f>
        <v>2</v>
      </c>
      <c r="AA61" s="245"/>
      <c r="AB61" s="249"/>
      <c r="AC61" s="1130" t="s">
        <v>2207</v>
      </c>
      <c r="AD61" s="1130"/>
      <c r="AE61" s="1130"/>
      <c r="AF61" s="1130"/>
      <c r="AG61" s="1130"/>
      <c r="AH61" s="170">
        <v>1</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527">
        <f>IF(AND(B9&lt;&gt;"処遇加算なし",F15=4),IF(V40="✓",1,IF(V41="✓",2,"")),"")</f>
        <v>2</v>
      </c>
      <c r="AA62" s="245"/>
      <c r="AB62" s="249"/>
      <c r="AC62" s="1130" t="s">
        <v>2208</v>
      </c>
      <c r="AD62" s="1130"/>
      <c r="AE62" s="1130"/>
      <c r="AF62" s="1130"/>
      <c r="AG62" s="1130"/>
      <c r="AH62" s="170">
        <v>2</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2432</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1334567892</v>
      </c>
      <c r="C5" s="1120"/>
      <c r="D5" s="1120"/>
      <c r="E5" s="1120"/>
      <c r="F5" s="1120"/>
      <c r="G5" s="1121" t="s">
        <v>2436</v>
      </c>
      <c r="H5" s="1121"/>
      <c r="I5" s="1121"/>
      <c r="J5" s="1122" t="s">
        <v>5</v>
      </c>
      <c r="K5" s="1122"/>
      <c r="L5" s="1122"/>
      <c r="M5" s="1123" t="s">
        <v>6</v>
      </c>
      <c r="N5" s="1123"/>
      <c r="O5" s="1123"/>
      <c r="P5" s="1124">
        <f>IF(Y5="","",IFERROR(INDEX(【参考】数式用3!$G$3:$I$451,MATCH(M5,【参考】数式用3!$F$3:$F$451,0),MATCH(VLOOKUP(Y5,【参考】数式用3!$J$2:$K$26,2,FALSE),【参考】数式用3!$G$2:$I$2,0)),10))</f>
        <v>10.9</v>
      </c>
      <c r="Q5" s="1125"/>
      <c r="R5" s="1125"/>
      <c r="S5" s="1126" t="s">
        <v>2435</v>
      </c>
      <c r="T5" s="1127"/>
      <c r="U5" s="1127"/>
      <c r="V5" s="1127"/>
      <c r="W5" s="1127"/>
      <c r="X5" s="1128"/>
      <c r="Y5" s="1136" t="s">
        <v>284</v>
      </c>
      <c r="Z5" s="1136"/>
      <c r="AA5" s="1136"/>
      <c r="AB5" s="1136"/>
      <c r="AC5" s="1136"/>
      <c r="AD5" s="1136"/>
      <c r="AE5" s="1141">
        <v>325000</v>
      </c>
      <c r="AF5" s="1142"/>
      <c r="AG5" s="1142"/>
      <c r="AH5" s="1143"/>
      <c r="AI5" s="1141">
        <v>0</v>
      </c>
      <c r="AJ5" s="1142"/>
      <c r="AK5" s="1142"/>
      <c r="AL5" s="1143"/>
      <c r="AM5" s="1144">
        <f>AE5-AI5</f>
        <v>325000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533">
        <v>10</v>
      </c>
      <c r="G15" s="530" t="s">
        <v>2284</v>
      </c>
      <c r="H15" s="1085" t="s">
        <v>2285</v>
      </c>
      <c r="I15" s="1085"/>
      <c r="J15" s="1098"/>
      <c r="K15" s="147">
        <v>7</v>
      </c>
      <c r="L15" s="530" t="s">
        <v>2283</v>
      </c>
      <c r="M15" s="147">
        <v>3</v>
      </c>
      <c r="N15" s="530" t="s">
        <v>2284</v>
      </c>
      <c r="O15" s="530" t="s">
        <v>2286</v>
      </c>
      <c r="P15" s="204">
        <f>(K15*12+M15)-(D15*12+F15)+1</f>
        <v>6</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サービス提供体制強化加算Ⅰ、Ⅱ、Ⅲイまたはロを算定する。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t="s">
        <v>2271</v>
      </c>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R6.10～R7.3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31" t="str">
        <f>AS48&amp;AW48&amp;BA48</f>
        <v>処遇加算Ⅰ特定加算Ⅱベア加算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f>IFERROR(ROUNDDOWN(ROUND(AM5*AC50,0)*P5,0)*AD53,"")</f>
        <v>1912950</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f>IFERROR(ROUNDDOWN(ROUND(AM5*(AC50-Q10),0)*P5,0)*AD53,"")</f>
        <v>1912950</v>
      </c>
      <c r="BF51" s="1011"/>
      <c r="BG51" s="1011"/>
      <c r="BH51" s="1011"/>
      <c r="BI51" s="1011">
        <f>SUM(AS51:BH51)</f>
        <v>1912950</v>
      </c>
      <c r="BJ51" s="1011"/>
      <c r="BK51" s="1011"/>
      <c r="BL51" s="1011"/>
      <c r="BM51" s="241"/>
      <c r="BN51" s="1011">
        <f>IFERROR(ROUNDDOWN(ROUNDDOWN(ROUND(AM5*(VLOOKUP(Y5,【参考】数式用!$A$5:$AB$27,14,FALSE)),0)*P5,0)*AD53*0.5,0),"")</f>
        <v>680160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
      </c>
      <c r="W52" s="1048"/>
      <c r="X52" s="1048"/>
      <c r="Y52" s="1048"/>
      <c r="Z52" s="1048"/>
      <c r="AB52" s="151"/>
      <c r="AC52" s="1051" t="str">
        <f>IFERROR("("&amp;TEXT(AC51/AD53,"#,##0円")&amp;"/月)","")</f>
        <v>(318,825円/月)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
      </c>
      <c r="AD56" s="1131"/>
      <c r="AE56" s="1131"/>
      <c r="AF56" s="1131"/>
      <c r="AG56" s="1131"/>
      <c r="AH56" s="1131"/>
      <c r="AI56" s="250"/>
      <c r="AJ56" s="249"/>
      <c r="AK56" s="1131" t="str">
        <f>IF(OR(F15=4,F15=5),"R6.6","R"&amp;D15&amp;"."&amp;F15)&amp;"～R"&amp;K15&amp;"."&amp;M15</f>
        <v>R6.10～R7.3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534">
        <f>IF(AND(F15&lt;&gt;4,F15&lt;&gt;5),0,IF(AU8="○",1,3))</f>
        <v>0</v>
      </c>
      <c r="AI58" s="253"/>
      <c r="AJ58" s="249"/>
      <c r="AK58" s="1130" t="s">
        <v>2204</v>
      </c>
      <c r="AL58" s="1130"/>
      <c r="AM58" s="1130"/>
      <c r="AN58" s="1130"/>
      <c r="AO58" s="1130"/>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534">
        <f>IF(AND(F15&lt;&gt;4,F15&lt;&gt;5),0,IF(AV8="○",1,3))</f>
        <v>0</v>
      </c>
      <c r="AI59" s="253"/>
      <c r="AJ59" s="249"/>
      <c r="AK59" s="1130" t="s">
        <v>2205</v>
      </c>
      <c r="AL59" s="1130"/>
      <c r="AM59" s="1130"/>
      <c r="AN59" s="1130"/>
      <c r="AO59" s="1130"/>
      <c r="AP59" s="170">
        <v>2</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534">
        <f>IF(AND(F15&lt;&gt;4,F15&lt;&gt;5),0,IF(AW8="○",1,3))</f>
        <v>0</v>
      </c>
      <c r="AI60" s="253"/>
      <c r="AJ60" s="249"/>
      <c r="AK60" s="1130" t="s">
        <v>2206</v>
      </c>
      <c r="AL60" s="1130"/>
      <c r="AM60" s="1130"/>
      <c r="AN60" s="1130"/>
      <c r="AO60" s="1130"/>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534">
        <f>IF(AND(F15&lt;&gt;4,F15&lt;&gt;5),0,IF(AX8="○",1,2))</f>
        <v>0</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534">
        <f>IF(AND(F15&lt;&gt;4,F15&lt;&gt;5),0,IF(AY8="○",1,2))</f>
        <v>0</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534">
        <f>IF(AND(F15&lt;&gt;4,F15&lt;&gt;5),0,IF(AZ8="○",1,2))</f>
        <v>0</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2424</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1334567893</v>
      </c>
      <c r="C5" s="1120"/>
      <c r="D5" s="1120"/>
      <c r="E5" s="1120"/>
      <c r="F5" s="1120"/>
      <c r="G5" s="1121" t="s">
        <v>2433</v>
      </c>
      <c r="H5" s="1121"/>
      <c r="I5" s="1121"/>
      <c r="J5" s="1122" t="s">
        <v>5</v>
      </c>
      <c r="K5" s="1122"/>
      <c r="L5" s="1122"/>
      <c r="M5" s="1123" t="s">
        <v>1320</v>
      </c>
      <c r="N5" s="1123"/>
      <c r="O5" s="1123"/>
      <c r="P5" s="1124">
        <f>IF(Y5="","",IFERROR(INDEX(【参考】数式用3!$G$3:$I$451,MATCH(M5,【参考】数式用3!$F$3:$F$451,0),MATCH(VLOOKUP(Y5,【参考】数式用3!$J$2:$K$26,2,FALSE),【参考】数式用3!$G$2:$I$2,0)),10))</f>
        <v>11.1</v>
      </c>
      <c r="Q5" s="1125"/>
      <c r="R5" s="1125"/>
      <c r="S5" s="1126" t="s">
        <v>2434</v>
      </c>
      <c r="T5" s="1127"/>
      <c r="U5" s="1127"/>
      <c r="V5" s="1127"/>
      <c r="W5" s="1127"/>
      <c r="X5" s="1128"/>
      <c r="Y5" s="1136" t="s">
        <v>292</v>
      </c>
      <c r="Z5" s="1136"/>
      <c r="AA5" s="1136"/>
      <c r="AB5" s="1136"/>
      <c r="AC5" s="1136"/>
      <c r="AD5" s="1136"/>
      <c r="AE5" s="1141">
        <v>425000</v>
      </c>
      <c r="AF5" s="1142"/>
      <c r="AG5" s="1142"/>
      <c r="AH5" s="1143"/>
      <c r="AI5" s="1141">
        <v>80000</v>
      </c>
      <c r="AJ5" s="1142"/>
      <c r="AK5" s="1142"/>
      <c r="AL5" s="1143"/>
      <c r="AM5" s="1144">
        <f>AE5-AI5</f>
        <v>345000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新加算Ⅳ</v>
      </c>
      <c r="W8" s="1153"/>
      <c r="X8" s="1153"/>
      <c r="Y8" s="1153"/>
      <c r="Z8" s="1154"/>
      <c r="AA8" s="113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t="s">
        <v>268</v>
      </c>
      <c r="C9" s="1064"/>
      <c r="D9" s="1064"/>
      <c r="E9" s="1064"/>
      <c r="F9" s="1065"/>
      <c r="G9" s="1066" t="s">
        <v>13</v>
      </c>
      <c r="H9" s="1067"/>
      <c r="I9" s="1067"/>
      <c r="J9" s="1067"/>
      <c r="K9" s="1068"/>
      <c r="L9" s="1069" t="s">
        <v>11</v>
      </c>
      <c r="M9" s="1070"/>
      <c r="N9" s="1070"/>
      <c r="O9" s="1070"/>
      <c r="P9" s="1071"/>
      <c r="Q9" s="1058" t="s">
        <v>2200</v>
      </c>
      <c r="R9" s="1059"/>
      <c r="S9" s="1059"/>
      <c r="T9" s="1041"/>
      <c r="U9" s="1042"/>
      <c r="V9" s="1155">
        <f>IFERROR(VLOOKUP(Y5,【参考】数式用!$A$5:$AB$27,MATCH(V8,【参考】数式用!$B$4:$AB$4,0)+1,FALSE),"")</f>
        <v>0.106</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4.1000000000000002E-2</v>
      </c>
      <c r="C10" s="1078"/>
      <c r="D10" s="1078"/>
      <c r="E10" s="1078"/>
      <c r="F10" s="1079"/>
      <c r="G10" s="1077">
        <f>IFERROR(VLOOKUP(Y5,【参考】数式用!$A$5:$J$27,MATCH(G9,【参考】数式用!$B$4:$J$4,0)+1,0),"")</f>
        <v>0</v>
      </c>
      <c r="H10" s="1078"/>
      <c r="I10" s="1078"/>
      <c r="J10" s="1078"/>
      <c r="K10" s="1079"/>
      <c r="L10" s="1077">
        <f>IFERROR(VLOOKUP(Y5,【参考】数式用!$A$5:$J$27,MATCH(L9,【参考】数式用!$B$4:$J$4,0)+1,0),"")</f>
        <v>0</v>
      </c>
      <c r="M10" s="1078"/>
      <c r="N10" s="1078"/>
      <c r="O10" s="1078"/>
      <c r="P10" s="1079"/>
      <c r="Q10" s="1036">
        <f>SUM(B10,G10,L10)</f>
        <v>4.1000000000000002E-2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新加算Ⅴ(11)</v>
      </c>
      <c r="W11" s="1119"/>
      <c r="X11" s="1119"/>
      <c r="Y11" s="1119"/>
      <c r="Z11" s="1119"/>
      <c r="AA11" s="113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8.8999999999999996E-2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新加算Ⅴ(14)</v>
      </c>
      <c r="W14" s="1119"/>
      <c r="X14" s="1119"/>
      <c r="Y14" s="1119"/>
      <c r="Z14" s="1119"/>
      <c r="AA14" s="114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f>IFERROR(VLOOKUP(Y5,【参考】数式用!$A$5:$AB$27,MATCH(V14,【参考】数式用!$B$4:$AB$4,0)+1,FALSE),"")</f>
        <v>5.6000000000000001E-2</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処遇加算Ⅱ</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ベア加算</v>
      </c>
      <c r="BB48" s="1013"/>
      <c r="BC48" s="1013"/>
      <c r="BD48" s="1013"/>
      <c r="BE48" s="1131" t="str">
        <f>AS48&amp;AW48&amp;BA48</f>
        <v>処遇加算Ⅱ特定加算なしベア加算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処遇加算Ⅱ</v>
      </c>
      <c r="H49" s="1046"/>
      <c r="I49" s="1046"/>
      <c r="J49" s="1046"/>
      <c r="K49" s="1047"/>
      <c r="L49" s="1045" t="str">
        <f>IFERROR(IF(G9="","",IF(AND(OR(AH61=1,AH61=2),AH62=1,AH63=1),"特定加算Ⅰ",IF(AND(OR(AH61=1,AH61=2),AH62=2,AH63=1),"特定加算Ⅱ",IF(OR(AH61=3,AH62=2,AH63=2),"特定加算なし","")))),"")</f>
        <v>特定加算なし</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新加算Ⅳ</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f>IFERROR(VLOOKUP(Y5,【参考】数式用!$A$5:$J$27,MATCH(G49,【参考】数式用!$B$4:$J$4,0)+1,0),"")</f>
        <v>7.3999999999999996E-2</v>
      </c>
      <c r="H50" s="1032"/>
      <c r="I50" s="1032"/>
      <c r="J50" s="1032"/>
      <c r="K50" s="1033"/>
      <c r="L50" s="1031">
        <f>IFERROR(VLOOKUP(Y5,【参考】数式用!$A$5:$J$27,MATCH(L49,【参考】数式用!$B$4:$J$4,0)+1,0),"")</f>
        <v>0</v>
      </c>
      <c r="M50" s="1032"/>
      <c r="N50" s="1032"/>
      <c r="O50" s="1032"/>
      <c r="P50" s="1034"/>
      <c r="Q50" s="1035">
        <f>IFERROR(VLOOKUP(Y5,【参考】数式用!$A$5:$J$27,MATCH(Q49,【参考】数式用!$B$4:$J$4,0)+1,0),"")</f>
        <v>1.7000000000000001E-2</v>
      </c>
      <c r="R50" s="1032"/>
      <c r="S50" s="1032"/>
      <c r="T50" s="1032"/>
      <c r="U50" s="1034"/>
      <c r="V50" s="1036">
        <f>SUM(G50,L50,Q50)</f>
        <v>9.0999999999999998E-2</v>
      </c>
      <c r="W50" s="1037"/>
      <c r="X50" s="1037"/>
      <c r="Y50" s="1037"/>
      <c r="Z50" s="1037"/>
      <c r="AA50" s="1043"/>
      <c r="AB50" s="1043"/>
      <c r="AC50" s="1038">
        <f>IFERROR(VLOOKUP(Y5,【参考】数式用!$A$5:$AB$27,MATCH(AC49,【参考】数式用!$B$4:$AB$4,0)+1,FALSE),"")</f>
        <v>0.106</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f>IFERROR(ROUNDDOWN(ROUND(AM5*G50,0)*P5,0)*H53,"")</f>
        <v>566766</v>
      </c>
      <c r="H51" s="1050"/>
      <c r="I51" s="1050"/>
      <c r="J51" s="1050"/>
      <c r="K51" s="148" t="s">
        <v>2289</v>
      </c>
      <c r="L51" s="1049">
        <f>IFERROR(ROUNDDOWN(ROUND(AM5*L50,0)*P5,0)*H53,"")</f>
        <v>0</v>
      </c>
      <c r="M51" s="1050"/>
      <c r="N51" s="1050"/>
      <c r="O51" s="1050"/>
      <c r="P51" s="148" t="s">
        <v>2289</v>
      </c>
      <c r="Q51" s="1049">
        <f>IFERROR(ROUNDDOWN(ROUND(AM5*Q50,0)*P5,0)*H53,"")</f>
        <v>130202</v>
      </c>
      <c r="R51" s="1050"/>
      <c r="S51" s="1050"/>
      <c r="T51" s="1050"/>
      <c r="U51" s="149" t="s">
        <v>2289</v>
      </c>
      <c r="V51" s="1158">
        <f>IFERROR(SUM(G51,L51,Q51),"")</f>
        <v>696968</v>
      </c>
      <c r="W51" s="1159"/>
      <c r="X51" s="1159"/>
      <c r="Y51" s="1159"/>
      <c r="Z51" s="150" t="s">
        <v>2289</v>
      </c>
      <c r="AB51" s="151"/>
      <c r="AC51" s="1049">
        <f>IFERROR(ROUNDDOWN(ROUND(AM5*AC50,0)*P5,0)*AD53,"")</f>
        <v>4059270</v>
      </c>
      <c r="AD51" s="1050"/>
      <c r="AE51" s="1050"/>
      <c r="AF51" s="1050"/>
      <c r="AG51" s="1050"/>
      <c r="AH51" s="149" t="s">
        <v>2289</v>
      </c>
      <c r="AS51" s="1011">
        <f>IFERROR(ROUNDDOWN(ROUND(AM5*(G50-B10),0)*P5,0)*H53,"")</f>
        <v>252746</v>
      </c>
      <c r="AT51" s="1011"/>
      <c r="AU51" s="1011"/>
      <c r="AV51" s="1011"/>
      <c r="AW51" s="1011">
        <f>IFERROR(ROUNDDOWN(ROUND(AM5*(L50-G10),0)*P5,0)*H53,"")</f>
        <v>0</v>
      </c>
      <c r="AX51" s="1011"/>
      <c r="AY51" s="1011"/>
      <c r="AZ51" s="1011"/>
      <c r="BA51" s="1011">
        <f>IFERROR(ROUNDDOWN(ROUND(AM5*(Q50-L10),0)*P5,0)*H53,"")</f>
        <v>130202</v>
      </c>
      <c r="BB51" s="1011"/>
      <c r="BC51" s="1011"/>
      <c r="BD51" s="1011"/>
      <c r="BE51" s="1011">
        <f>IFERROR(ROUNDDOWN(ROUND(AM5*(AC50-Q10),0)*P5,0)*AD53,"")</f>
        <v>2489170</v>
      </c>
      <c r="BF51" s="1011"/>
      <c r="BG51" s="1011"/>
      <c r="BH51" s="1011"/>
      <c r="BI51" s="1011">
        <f>SUM(AS51:BH51)</f>
        <v>2872118</v>
      </c>
      <c r="BJ51" s="1011"/>
      <c r="BK51" s="1011"/>
      <c r="BL51" s="1011"/>
      <c r="BM51" s="241"/>
      <c r="BN51" s="1011">
        <f>IFERROR(ROUNDDOWN(ROUNDDOWN(ROUND(AM5*(VLOOKUP(Y5,【参考】数式用!$A$5:$AB$27,14,FALSE)),0)*P5,0)*AD53*0.5,0),"")</f>
        <v>2029635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(283,383円/月)</v>
      </c>
      <c r="H52" s="1048"/>
      <c r="I52" s="1048"/>
      <c r="J52" s="1048"/>
      <c r="K52" s="1048"/>
      <c r="L52" s="1048" t="str">
        <f>IFERROR("("&amp;TEXT(L51/H53,"#,##0円")&amp;"/月)","")</f>
        <v>(0円/月)</v>
      </c>
      <c r="M52" s="1048"/>
      <c r="N52" s="1048"/>
      <c r="O52" s="1048"/>
      <c r="P52" s="1048"/>
      <c r="Q52" s="1048" t="str">
        <f>IFERROR("("&amp;TEXT(Q51/H53,"#,##0円")&amp;"/月)","")</f>
        <v>(65,101円/月)</v>
      </c>
      <c r="R52" s="1048"/>
      <c r="S52" s="1048"/>
      <c r="T52" s="1048"/>
      <c r="U52" s="1048"/>
      <c r="V52" s="1048" t="str">
        <f>IFERROR("("&amp;TEXT(V51/H53,"#,##0円")&amp;"/月)","")</f>
        <v>(348,484円/月)</v>
      </c>
      <c r="W52" s="1048"/>
      <c r="X52" s="1048"/>
      <c r="Y52" s="1048"/>
      <c r="Z52" s="1048"/>
      <c r="AB52" s="151"/>
      <c r="AC52" s="1051" t="str">
        <f>IFERROR("("&amp;TEXT(AC51/AD53,"#,##0円")&amp;"/月)","")</f>
        <v>(405,927円/月)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f>IF(AND(B9&lt;&gt;"処遇加算なし",F15=4),IF(V21="✓",1,IF(V22="✓",2,"")),"")</f>
        <v>2</v>
      </c>
      <c r="AA57" s="245"/>
      <c r="AB57" s="249"/>
      <c r="AC57" s="1012" t="s">
        <v>2203</v>
      </c>
      <c r="AD57" s="1012"/>
      <c r="AE57" s="1012"/>
      <c r="AF57" s="1012"/>
      <c r="AG57" s="1012"/>
      <c r="AH57" s="170">
        <f>IF(AND(F15&lt;&gt;4,F15&lt;&gt;5),0,IF(AT8="○",1,0))</f>
        <v>1</v>
      </c>
      <c r="AI57" s="253"/>
      <c r="AJ57" s="249"/>
      <c r="AK57" s="1012" t="s">
        <v>2203</v>
      </c>
      <c r="AL57" s="1012"/>
      <c r="AM57" s="1012"/>
      <c r="AN57" s="1012"/>
      <c r="AO57" s="1012"/>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2204</v>
      </c>
      <c r="V58" s="1130"/>
      <c r="W58" s="1130"/>
      <c r="X58" s="1130"/>
      <c r="Y58" s="1130"/>
      <c r="Z58" s="527">
        <f>IF(AND(B9&lt;&gt;"処遇加算なし",F15=4),IF(V24="✓",1,IF(V25="✓",2,IF(V26="✓",3,""))),"")</f>
        <v>2</v>
      </c>
      <c r="AA58" s="245"/>
      <c r="AB58" s="249"/>
      <c r="AC58" s="1130" t="s">
        <v>2204</v>
      </c>
      <c r="AD58" s="1130"/>
      <c r="AE58" s="1130"/>
      <c r="AF58" s="1130"/>
      <c r="AG58" s="1130"/>
      <c r="AH58" s="170">
        <v>2</v>
      </c>
      <c r="AI58" s="253"/>
      <c r="AJ58" s="249"/>
      <c r="AK58" s="1130" t="s">
        <v>2204</v>
      </c>
      <c r="AL58" s="1130"/>
      <c r="AM58" s="1130"/>
      <c r="AN58" s="1130"/>
      <c r="AO58" s="1130"/>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2205</v>
      </c>
      <c r="V59" s="1130"/>
      <c r="W59" s="1130"/>
      <c r="X59" s="1130"/>
      <c r="Y59" s="1130"/>
      <c r="Z59" s="527">
        <f>IF(AND(B9&lt;&gt;"処遇加算なし",F15=4),IF(V28="✓",1,IF(V29="✓",2,IF(V30="✓",3,""))),"")</f>
        <v>2</v>
      </c>
      <c r="AA59" s="245"/>
      <c r="AB59" s="249"/>
      <c r="AC59" s="1130" t="s">
        <v>2205</v>
      </c>
      <c r="AD59" s="1130"/>
      <c r="AE59" s="1130"/>
      <c r="AF59" s="1130"/>
      <c r="AG59" s="1130"/>
      <c r="AH59" s="170">
        <v>1</v>
      </c>
      <c r="AI59" s="253"/>
      <c r="AJ59" s="249"/>
      <c r="AK59" s="1130" t="s">
        <v>2205</v>
      </c>
      <c r="AL59" s="1130"/>
      <c r="AM59" s="1130"/>
      <c r="AN59" s="1130"/>
      <c r="AO59" s="1130"/>
      <c r="AP59" s="170">
        <f>IF(AV8="○",1,3)</f>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2206</v>
      </c>
      <c r="V60" s="1130"/>
      <c r="W60" s="1130"/>
      <c r="X60" s="1130"/>
      <c r="Y60" s="1130"/>
      <c r="Z60" s="527">
        <f>IF(AND(B9&lt;&gt;"処遇加算なし",F15=4),IF(V32="✓",1,IF(V33="✓",2,"")),"")</f>
        <v>2</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2207</v>
      </c>
      <c r="V61" s="1130"/>
      <c r="W61" s="1130"/>
      <c r="X61" s="1130"/>
      <c r="Y61" s="1130"/>
      <c r="Z61" s="527">
        <f>IF(AND(B9&lt;&gt;"処遇加算なし",F15=4),IF(V36="✓",1,IF(V37="✓",2,"")),"")</f>
        <v>2</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2208</v>
      </c>
      <c r="V62" s="1130"/>
      <c r="W62" s="1130"/>
      <c r="X62" s="1130"/>
      <c r="Y62" s="1130"/>
      <c r="Z62" s="527">
        <f>IF(AND(B9&lt;&gt;"処遇加算なし",F15=4),IF(V40="✓",1,IF(V41="✓",2,"")),"")</f>
        <v>2</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2425</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2426</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2427</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2428</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2015-06-05T18:19:34Z</dcterms:modified>
</cp:coreProperties>
</file>